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tabRatio="894"/>
  </bookViews>
  <sheets>
    <sheet name="SKO Březnice u Zlína" sheetId="7" r:id="rId1"/>
  </sheets>
  <definedNames>
    <definedName name="_xlnm._FilterDatabase" localSheetId="0" hidden="1">'SKO Březnice u Zlína'!$A$1:$T$26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<sst xmlns="http://schemas.openxmlformats.org/spreadsheetml/2006/main" count="188" uniqueCount="51">
  <si>
    <t>ROK</t>
  </si>
  <si>
    <t>KVARTÁL</t>
  </si>
  <si>
    <t>DATUM</t>
  </si>
  <si>
    <t>MĚSÍC</t>
  </si>
  <si>
    <t>LOKALITA</t>
  </si>
  <si>
    <t>ZÁSTAVBA</t>
  </si>
  <si>
    <t>ZAZNAMENAL</t>
  </si>
  <si>
    <t>HMOTNOST VZORKU (kg)</t>
  </si>
  <si>
    <t>HMOTNOST NA VSTUPU (kg)</t>
  </si>
  <si>
    <r>
      <rPr>
        <b/>
        <sz val="11"/>
        <color theme="1"/>
        <rFont val="Calibri"/>
        <charset val="238"/>
        <scheme val="minor"/>
      </rPr>
      <t>OBJEM NA VSTUPU (m</t>
    </r>
    <r>
      <rPr>
        <b/>
        <vertAlign val="superscript"/>
        <sz val="11"/>
        <color theme="1"/>
        <rFont val="Calibri"/>
        <charset val="238"/>
        <scheme val="minor"/>
      </rPr>
      <t>3</t>
    </r>
    <r>
      <rPr>
        <b/>
        <sz val="11"/>
        <color theme="1"/>
        <rFont val="Calibri"/>
        <charset val="238"/>
        <scheme val="minor"/>
      </rPr>
      <t>)</t>
    </r>
  </si>
  <si>
    <r>
      <rPr>
        <b/>
        <sz val="11"/>
        <color theme="1"/>
        <rFont val="Calibri"/>
        <charset val="238"/>
        <scheme val="minor"/>
      </rPr>
      <t>HUSTOTA NA VSTUPU (kg/m</t>
    </r>
    <r>
      <rPr>
        <b/>
        <vertAlign val="superscript"/>
        <sz val="11"/>
        <color theme="1"/>
        <rFont val="Calibri"/>
        <charset val="238"/>
        <scheme val="minor"/>
      </rPr>
      <t>3</t>
    </r>
    <r>
      <rPr>
        <b/>
        <sz val="11"/>
        <color theme="1"/>
        <rFont val="Calibri"/>
        <charset val="238"/>
        <scheme val="minor"/>
      </rPr>
      <t>)</t>
    </r>
  </si>
  <si>
    <t>HMOTNOST PODVZORKU (kg)</t>
  </si>
  <si>
    <r>
      <rPr>
        <b/>
        <sz val="11"/>
        <color theme="1"/>
        <rFont val="Calibri"/>
        <charset val="238"/>
        <scheme val="minor"/>
      </rPr>
      <t>OBJEM PODVZORKU (m</t>
    </r>
    <r>
      <rPr>
        <b/>
        <vertAlign val="superscript"/>
        <sz val="11"/>
        <color theme="1"/>
        <rFont val="Calibri"/>
        <charset val="238"/>
        <scheme val="minor"/>
      </rPr>
      <t>3</t>
    </r>
    <r>
      <rPr>
        <b/>
        <sz val="11"/>
        <color theme="1"/>
        <rFont val="Calibri"/>
        <charset val="238"/>
        <scheme val="minor"/>
      </rPr>
      <t>)</t>
    </r>
  </si>
  <si>
    <t>Látková podskupina (1)</t>
  </si>
  <si>
    <t>Látková podskupina (2)</t>
  </si>
  <si>
    <t>Hmotnost [kg]</t>
  </si>
  <si>
    <t>Objem [m3]</t>
  </si>
  <si>
    <t>Hustota 
[kg/m3]</t>
  </si>
  <si>
    <t>Podíl 
[% hm.]</t>
  </si>
  <si>
    <t>Podíl 
[% obj.]</t>
  </si>
  <si>
    <t>JARO</t>
  </si>
  <si>
    <t>květen</t>
  </si>
  <si>
    <t>Březnice u Zlína</t>
  </si>
  <si>
    <t>venkovská</t>
  </si>
  <si>
    <t>Richtar</t>
  </si>
  <si>
    <t>Papír</t>
  </si>
  <si>
    <t>Obalový</t>
  </si>
  <si>
    <t>Neobalový</t>
  </si>
  <si>
    <t>Ostatní</t>
  </si>
  <si>
    <t>Plast</t>
  </si>
  <si>
    <t>Bioodpad</t>
  </si>
  <si>
    <t>Kuchyňský</t>
  </si>
  <si>
    <t>Ze zahrad a parků</t>
  </si>
  <si>
    <t>Dřevo</t>
  </si>
  <si>
    <t>Sklo</t>
  </si>
  <si>
    <t>Obalové</t>
  </si>
  <si>
    <t>Neobalové</t>
  </si>
  <si>
    <t>Kovy</t>
  </si>
  <si>
    <t>Textil</t>
  </si>
  <si>
    <t>Oděvy</t>
  </si>
  <si>
    <t>Ostatní textilní materiály</t>
  </si>
  <si>
    <t>Kompozitní a nápojové kartony</t>
  </si>
  <si>
    <t>Nápojové kartony (tetrapacky)</t>
  </si>
  <si>
    <t>Elektrozařízení</t>
  </si>
  <si>
    <t>Baterie a akumulátory</t>
  </si>
  <si>
    <t>Další odpady</t>
  </si>
  <si>
    <t>Hygienické odpady, pleny a pap. Kapesníky</t>
  </si>
  <si>
    <t>Minerální odpady</t>
  </si>
  <si>
    <t>NO - ostatní potenciálně nebezpečné odpady</t>
  </si>
  <si>
    <t>Komplexní produkty</t>
  </si>
  <si>
    <t>Podíl pod 40 mm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</si>
</sst>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  <numFmt numFmtId="179" formatCode="0.0000"/>
  </numFmts>
  <fonts count="28">
    <font>
      <sz val="11"/>
      <color theme="1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sz val="11"/>
      <name val="Calibri"/>
      <charset val="238"/>
      <scheme val="minor"/>
    </font>
    <font>
      <sz val="11"/>
      <color rgb="FF000000"/>
      <name val="Calibri"/>
      <charset val="238"/>
      <scheme val="minor"/>
    </font>
    <font>
      <b/>
      <sz val="11"/>
      <color rgb="FF000000"/>
      <name val="Calibri"/>
      <charset val="238"/>
      <scheme val="minor"/>
    </font>
    <font>
      <b/>
      <sz val="1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vertAlign val="superscript"/>
      <sz val="11"/>
      <color theme="1"/>
      <name val="Calibri"/>
      <charset val="238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58" fontId="1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58" fontId="0" fillId="0" borderId="5" xfId="0" applyNumberFormat="1" applyBorder="1"/>
    <xf numFmtId="0" fontId="0" fillId="0" borderId="5" xfId="0" applyBorder="1"/>
    <xf numFmtId="0" fontId="2" fillId="0" borderId="5" xfId="0" applyFont="1" applyBorder="1"/>
    <xf numFmtId="178" fontId="3" fillId="0" borderId="5" xfId="0" applyNumberFormat="1" applyFon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58" fontId="0" fillId="0" borderId="8" xfId="0" applyNumberFormat="1" applyBorder="1"/>
    <xf numFmtId="0" fontId="2" fillId="0" borderId="8" xfId="0" applyFont="1" applyBorder="1"/>
    <xf numFmtId="178" fontId="3" fillId="0" borderId="8" xfId="0" applyNumberFormat="1" applyFont="1" applyBorder="1" applyAlignment="1">
      <alignment horizontal="right"/>
    </xf>
    <xf numFmtId="178" fontId="1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right"/>
    </xf>
    <xf numFmtId="179" fontId="3" fillId="0" borderId="5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178" fontId="3" fillId="0" borderId="5" xfId="0" applyNumberFormat="1" applyFont="1" applyBorder="1"/>
    <xf numFmtId="179" fontId="0" fillId="0" borderId="5" xfId="0" applyNumberFormat="1" applyBorder="1"/>
    <xf numFmtId="0" fontId="0" fillId="0" borderId="5" xfId="0" applyFill="1" applyBorder="1"/>
    <xf numFmtId="178" fontId="3" fillId="0" borderId="5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right"/>
    </xf>
    <xf numFmtId="179" fontId="3" fillId="0" borderId="8" xfId="0" applyNumberFormat="1" applyFont="1" applyBorder="1" applyAlignment="1">
      <alignment horizontal="right"/>
    </xf>
    <xf numFmtId="2" fontId="3" fillId="0" borderId="8" xfId="0" applyNumberFormat="1" applyFont="1" applyBorder="1" applyAlignment="1">
      <alignment horizontal="right"/>
    </xf>
    <xf numFmtId="178" fontId="3" fillId="0" borderId="8" xfId="0" applyNumberFormat="1" applyFont="1" applyBorder="1"/>
    <xf numFmtId="179" fontId="0" fillId="0" borderId="8" xfId="0" applyNumberFormat="1" applyBorder="1"/>
    <xf numFmtId="0" fontId="0" fillId="0" borderId="8" xfId="0" applyFill="1" applyBorder="1"/>
    <xf numFmtId="178" fontId="3" fillId="0" borderId="8" xfId="0" applyNumberFormat="1" applyFont="1" applyFill="1" applyBorder="1" applyAlignment="1">
      <alignment horizontal="right"/>
    </xf>
    <xf numFmtId="178" fontId="0" fillId="0" borderId="0" xfId="0" applyNumberFormat="1"/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 wrapText="1"/>
    </xf>
    <xf numFmtId="10" fontId="0" fillId="0" borderId="0" xfId="0" applyNumberFormat="1"/>
    <xf numFmtId="2" fontId="0" fillId="0" borderId="0" xfId="0" applyNumberFormat="1"/>
    <xf numFmtId="10" fontId="1" fillId="2" borderId="2" xfId="3" applyNumberFormat="1" applyFont="1" applyFill="1" applyBorder="1" applyAlignment="1">
      <alignment horizontal="center" vertical="center" wrapText="1"/>
    </xf>
    <xf numFmtId="10" fontId="1" fillId="2" borderId="9" xfId="3" applyNumberFormat="1" applyFont="1" applyFill="1" applyBorder="1" applyAlignment="1">
      <alignment horizontal="center" vertical="center" wrapText="1"/>
    </xf>
    <xf numFmtId="179" fontId="3" fillId="0" borderId="5" xfId="0" applyNumberFormat="1" applyFont="1" applyFill="1" applyBorder="1" applyAlignment="1">
      <alignment horizontal="right"/>
    </xf>
    <xf numFmtId="2" fontId="0" fillId="0" borderId="5" xfId="0" applyNumberFormat="1" applyFill="1" applyBorder="1" applyAlignment="1">
      <alignment horizontal="right"/>
    </xf>
    <xf numFmtId="10" fontId="1" fillId="0" borderId="5" xfId="3" applyNumberFormat="1" applyFont="1" applyFill="1" applyBorder="1" applyAlignment="1">
      <alignment horizontal="right"/>
    </xf>
    <xf numFmtId="10" fontId="0" fillId="0" borderId="10" xfId="3" applyNumberFormat="1" applyFont="1" applyFill="1" applyBorder="1" applyAlignment="1">
      <alignment horizontal="right"/>
    </xf>
    <xf numFmtId="179" fontId="3" fillId="0" borderId="8" xfId="0" applyNumberFormat="1" applyFont="1" applyFill="1" applyBorder="1" applyAlignment="1">
      <alignment horizontal="right"/>
    </xf>
    <xf numFmtId="2" fontId="0" fillId="0" borderId="8" xfId="0" applyNumberFormat="1" applyFill="1" applyBorder="1" applyAlignment="1">
      <alignment horizontal="right"/>
    </xf>
    <xf numFmtId="10" fontId="1" fillId="0" borderId="8" xfId="3" applyNumberFormat="1" applyFont="1" applyFill="1" applyBorder="1" applyAlignment="1">
      <alignment horizontal="right"/>
    </xf>
    <xf numFmtId="10" fontId="0" fillId="0" borderId="11" xfId="3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0" fillId="3" borderId="0" xfId="0" applyFill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vertical="center"/>
    </xf>
    <xf numFmtId="0" fontId="3" fillId="3" borderId="0" xfId="0" applyFont="1" applyFill="1" applyAlignment="1">
      <alignment horizontal="right" vertical="center" wrapText="1"/>
    </xf>
    <xf numFmtId="0" fontId="1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399975585192419"/>
  </sheetPr>
  <dimension ref="A1:T87"/>
  <sheetViews>
    <sheetView tabSelected="1" workbookViewId="0">
      <pane ySplit="1" topLeftCell="A2" activePane="bottomLeft" state="frozen"/>
      <selection/>
      <selection pane="bottomLeft" activeCell="S3" sqref="S3"/>
    </sheetView>
  </sheetViews>
  <sheetFormatPr defaultColWidth="20.1428571428571" defaultRowHeight="15"/>
  <cols>
    <col min="1" max="1" width="6.14285714285714" customWidth="1"/>
    <col min="2" max="2" width="10.4285714285714" customWidth="1"/>
    <col min="3" max="3" width="12.8571428571429" customWidth="1"/>
    <col min="4" max="4" width="11.1428571428571" customWidth="1"/>
    <col min="5" max="6" width="14.8571428571429" customWidth="1"/>
    <col min="7" max="7" width="13.5714285714286" customWidth="1"/>
    <col min="8" max="8" width="16.8571428571429" customWidth="1"/>
    <col min="9" max="9" width="14.7142857142857" customWidth="1"/>
    <col min="10" max="10" width="14.2857142857143" customWidth="1"/>
    <col min="11" max="11" width="16.1428571428571" customWidth="1"/>
    <col min="12" max="12" width="16.2857142857143" customWidth="1"/>
    <col min="13" max="13" width="17.2857142857143" customWidth="1"/>
    <col min="14" max="14" width="30.5714285714286" customWidth="1"/>
    <col min="15" max="15" width="41.7142857142857" customWidth="1"/>
    <col min="16" max="16" width="13.5714285714286" customWidth="1"/>
    <col min="17" max="17" width="16.1428571428571" customWidth="1"/>
    <col min="18" max="18" width="12.5714285714286" customWidth="1"/>
    <col min="19" max="20" width="12.4285714285714" customWidth="1"/>
  </cols>
  <sheetData>
    <row r="1" ht="31.5" customHeight="1" spans="1:20">
      <c r="A1" s="1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6" t="s">
        <v>8</v>
      </c>
      <c r="J1" s="17" t="s">
        <v>9</v>
      </c>
      <c r="K1" s="18" t="s">
        <v>10</v>
      </c>
      <c r="L1" s="16" t="s">
        <v>11</v>
      </c>
      <c r="M1" s="17" t="s">
        <v>12</v>
      </c>
      <c r="N1" s="2" t="s">
        <v>13</v>
      </c>
      <c r="O1" s="2" t="s">
        <v>14</v>
      </c>
      <c r="P1" s="16" t="s">
        <v>15</v>
      </c>
      <c r="Q1" s="17" t="s">
        <v>16</v>
      </c>
      <c r="R1" s="18" t="s">
        <v>17</v>
      </c>
      <c r="S1" s="38" t="s">
        <v>18</v>
      </c>
      <c r="T1" s="39" t="s">
        <v>19</v>
      </c>
    </row>
    <row r="2" spans="1:20">
      <c r="A2" s="4">
        <v>2024</v>
      </c>
      <c r="B2" s="5" t="s">
        <v>20</v>
      </c>
      <c r="C2" s="6">
        <v>45432</v>
      </c>
      <c r="D2" s="7" t="s">
        <v>21</v>
      </c>
      <c r="E2" s="8" t="s">
        <v>22</v>
      </c>
      <c r="F2" s="8" t="s">
        <v>23</v>
      </c>
      <c r="G2" s="7" t="s">
        <v>24</v>
      </c>
      <c r="H2" s="9"/>
      <c r="I2" s="19">
        <f>18.3+20.6+20.2+26.5+26+25.8+24.8+31.5+36.8+30.1+29.1-11*7.4</f>
        <v>208.3</v>
      </c>
      <c r="J2" s="20">
        <f>0.125+0.13+0.135+0.13+0.14+0.13+0.13+0.14+0.13+0.15+0.15</f>
        <v>1.49</v>
      </c>
      <c r="K2" s="21">
        <f>IFERROR(I2/J2,"-")</f>
        <v>139.798657718121</v>
      </c>
      <c r="L2" s="22">
        <f>SUM(P2:P25)</f>
        <v>200.3</v>
      </c>
      <c r="M2" s="23">
        <f>SUM(Q2:Q25)</f>
        <v>2.141</v>
      </c>
      <c r="N2" s="24" t="s">
        <v>25</v>
      </c>
      <c r="O2" s="24" t="s">
        <v>26</v>
      </c>
      <c r="P2" s="25">
        <f>2.4+3.7</f>
        <v>6.1</v>
      </c>
      <c r="Q2" s="40">
        <f>0.095+0.1</f>
        <v>0.195</v>
      </c>
      <c r="R2" s="41">
        <f>IF(ISERROR(P2/Q2),"-",(P2/Q2))</f>
        <v>31.2820512820513</v>
      </c>
      <c r="S2" s="42">
        <f>IFERROR(P2/L2,"-")</f>
        <v>0.0304543185222167</v>
      </c>
      <c r="T2" s="43">
        <f t="shared" ref="T2:T25" si="0">IFERROR(Q2/M2,"-")</f>
        <v>0.0910789350770668</v>
      </c>
    </row>
    <row r="3" spans="1:20">
      <c r="A3" s="10">
        <v>2024</v>
      </c>
      <c r="B3" s="5" t="s">
        <v>20</v>
      </c>
      <c r="C3" s="6">
        <v>45432</v>
      </c>
      <c r="D3" s="7" t="s">
        <v>21</v>
      </c>
      <c r="E3" s="8" t="s">
        <v>22</v>
      </c>
      <c r="F3" s="8" t="s">
        <v>23</v>
      </c>
      <c r="G3" s="7" t="s">
        <v>24</v>
      </c>
      <c r="H3" s="9"/>
      <c r="I3" s="19">
        <f t="shared" ref="I3:I25" si="1">18.3+20.6+20.2+26.5+26+25.8+24.8+31.5+36.8+30.1+29.1-11*7.4</f>
        <v>208.3</v>
      </c>
      <c r="J3" s="20">
        <f t="shared" ref="J3:J25" si="2">0.125+0.13+0.135+0.13+0.14+0.13+0.13+0.14+0.13+0.15+0.15</f>
        <v>1.49</v>
      </c>
      <c r="K3" s="21">
        <f t="shared" ref="K3:K13" si="3">IFERROR(I3/J3,"-")</f>
        <v>139.798657718121</v>
      </c>
      <c r="L3" s="22">
        <f>SUM(P2:P25)</f>
        <v>200.3</v>
      </c>
      <c r="M3" s="23">
        <f>SUM(Q2:Q25)</f>
        <v>2.141</v>
      </c>
      <c r="N3" s="24" t="s">
        <v>25</v>
      </c>
      <c r="O3" s="24" t="s">
        <v>27</v>
      </c>
      <c r="P3" s="25">
        <v>5.3</v>
      </c>
      <c r="Q3" s="40">
        <v>0.085</v>
      </c>
      <c r="R3" s="41">
        <f t="shared" ref="R2:R25" si="4">IF(ISERROR(P3/Q3),"-",(P3/Q3))</f>
        <v>62.3529411764706</v>
      </c>
      <c r="S3" s="42">
        <f t="shared" ref="S2:S25" si="5">IFERROR(P3/L3,"-")</f>
        <v>0.0264603095356965</v>
      </c>
      <c r="T3" s="43">
        <f t="shared" si="0"/>
        <v>0.0397010742643625</v>
      </c>
    </row>
    <row r="4" spans="1:20">
      <c r="A4" s="10">
        <v>2024</v>
      </c>
      <c r="B4" s="5" t="s">
        <v>20</v>
      </c>
      <c r="C4" s="6">
        <v>45432</v>
      </c>
      <c r="D4" s="7" t="s">
        <v>21</v>
      </c>
      <c r="E4" s="8" t="s">
        <v>22</v>
      </c>
      <c r="F4" s="8" t="s">
        <v>23</v>
      </c>
      <c r="G4" s="7" t="s">
        <v>24</v>
      </c>
      <c r="H4" s="9"/>
      <c r="I4" s="19">
        <f t="shared" si="1"/>
        <v>208.3</v>
      </c>
      <c r="J4" s="20">
        <f t="shared" si="2"/>
        <v>1.49</v>
      </c>
      <c r="K4" s="21">
        <f t="shared" si="3"/>
        <v>139.798657718121</v>
      </c>
      <c r="L4" s="22">
        <f>SUM(P2:P25)</f>
        <v>200.3</v>
      </c>
      <c r="M4" s="23">
        <f>SUM(Q2:Q25)</f>
        <v>2.141</v>
      </c>
      <c r="N4" s="24" t="s">
        <v>25</v>
      </c>
      <c r="O4" s="24" t="s">
        <v>28</v>
      </c>
      <c r="P4" s="25">
        <f>2.6+2.9</f>
        <v>5.5</v>
      </c>
      <c r="Q4" s="40">
        <f>0.11+0.085</f>
        <v>0.195</v>
      </c>
      <c r="R4" s="41">
        <f t="shared" si="4"/>
        <v>28.2051282051282</v>
      </c>
      <c r="S4" s="42">
        <f t="shared" si="5"/>
        <v>0.0274588117823265</v>
      </c>
      <c r="T4" s="43">
        <f t="shared" si="0"/>
        <v>0.0910789350770668</v>
      </c>
    </row>
    <row r="5" spans="1:20">
      <c r="A5" s="4">
        <v>2024</v>
      </c>
      <c r="B5" s="5" t="s">
        <v>20</v>
      </c>
      <c r="C5" s="6">
        <v>45432</v>
      </c>
      <c r="D5" s="7" t="s">
        <v>21</v>
      </c>
      <c r="E5" s="8" t="s">
        <v>22</v>
      </c>
      <c r="F5" s="8" t="s">
        <v>23</v>
      </c>
      <c r="G5" s="7" t="s">
        <v>24</v>
      </c>
      <c r="H5" s="9"/>
      <c r="I5" s="19">
        <f t="shared" si="1"/>
        <v>208.3</v>
      </c>
      <c r="J5" s="20">
        <f t="shared" si="2"/>
        <v>1.49</v>
      </c>
      <c r="K5" s="21">
        <f t="shared" si="3"/>
        <v>139.798657718121</v>
      </c>
      <c r="L5" s="22">
        <f>SUM(P2:P25)</f>
        <v>200.3</v>
      </c>
      <c r="M5" s="23">
        <f>SUM(Q2:Q25)</f>
        <v>2.141</v>
      </c>
      <c r="N5" s="24" t="s">
        <v>29</v>
      </c>
      <c r="O5" s="24" t="s">
        <v>26</v>
      </c>
      <c r="P5" s="25">
        <f>4.7+3.6+1.5+4.5+3.5</f>
        <v>17.8</v>
      </c>
      <c r="Q5" s="40">
        <f>0.13+0.12+0.09+0.12+0.115</f>
        <v>0.575</v>
      </c>
      <c r="R5" s="41">
        <f t="shared" si="4"/>
        <v>30.9565217391304</v>
      </c>
      <c r="S5" s="42">
        <f t="shared" si="5"/>
        <v>0.0888666999500749</v>
      </c>
      <c r="T5" s="43">
        <f t="shared" si="0"/>
        <v>0.268566090611864</v>
      </c>
    </row>
    <row r="6" spans="1:20">
      <c r="A6" s="10">
        <v>2024</v>
      </c>
      <c r="B6" s="5" t="s">
        <v>20</v>
      </c>
      <c r="C6" s="6">
        <v>45432</v>
      </c>
      <c r="D6" s="7" t="s">
        <v>21</v>
      </c>
      <c r="E6" s="8" t="s">
        <v>22</v>
      </c>
      <c r="F6" s="8" t="s">
        <v>23</v>
      </c>
      <c r="G6" s="7" t="s">
        <v>24</v>
      </c>
      <c r="H6" s="9"/>
      <c r="I6" s="19">
        <f t="shared" si="1"/>
        <v>208.3</v>
      </c>
      <c r="J6" s="20">
        <f t="shared" si="2"/>
        <v>1.49</v>
      </c>
      <c r="K6" s="21">
        <f t="shared" si="3"/>
        <v>139.798657718121</v>
      </c>
      <c r="L6" s="22">
        <f>SUM(P2:P25)</f>
        <v>200.3</v>
      </c>
      <c r="M6" s="23">
        <f>SUM(Q2:Q25)</f>
        <v>2.141</v>
      </c>
      <c r="N6" s="24" t="s">
        <v>29</v>
      </c>
      <c r="O6" s="24" t="s">
        <v>27</v>
      </c>
      <c r="P6" s="25">
        <v>1.2</v>
      </c>
      <c r="Q6" s="40">
        <v>0.02</v>
      </c>
      <c r="R6" s="41">
        <f t="shared" si="4"/>
        <v>60</v>
      </c>
      <c r="S6" s="42">
        <f t="shared" si="5"/>
        <v>0.00599101347978033</v>
      </c>
      <c r="T6" s="43">
        <f t="shared" si="0"/>
        <v>0.00934142923867352</v>
      </c>
    </row>
    <row r="7" spans="1:20">
      <c r="A7" s="10">
        <v>2024</v>
      </c>
      <c r="B7" s="5" t="s">
        <v>20</v>
      </c>
      <c r="C7" s="6">
        <v>45432</v>
      </c>
      <c r="D7" s="7" t="s">
        <v>21</v>
      </c>
      <c r="E7" s="8" t="s">
        <v>22</v>
      </c>
      <c r="F7" s="8" t="s">
        <v>23</v>
      </c>
      <c r="G7" s="7" t="s">
        <v>24</v>
      </c>
      <c r="H7" s="9"/>
      <c r="I7" s="19">
        <f t="shared" si="1"/>
        <v>208.3</v>
      </c>
      <c r="J7" s="20">
        <f t="shared" si="2"/>
        <v>1.49</v>
      </c>
      <c r="K7" s="21">
        <f t="shared" si="3"/>
        <v>139.798657718121</v>
      </c>
      <c r="L7" s="22">
        <f>SUM(P2:P25)</f>
        <v>200.3</v>
      </c>
      <c r="M7" s="23">
        <f>SUM(Q2:Q25)</f>
        <v>2.141</v>
      </c>
      <c r="N7" s="24" t="s">
        <v>30</v>
      </c>
      <c r="O7" s="24" t="s">
        <v>31</v>
      </c>
      <c r="P7" s="25">
        <f>22.4+28.6</f>
        <v>51</v>
      </c>
      <c r="Q7" s="40">
        <f>0.08+0.095</f>
        <v>0.175</v>
      </c>
      <c r="R7" s="41">
        <f t="shared" si="4"/>
        <v>291.428571428571</v>
      </c>
      <c r="S7" s="42">
        <f t="shared" si="5"/>
        <v>0.254618072890664</v>
      </c>
      <c r="T7" s="43">
        <f t="shared" si="0"/>
        <v>0.0817375058383933</v>
      </c>
    </row>
    <row r="8" spans="1:20">
      <c r="A8" s="10">
        <v>2024</v>
      </c>
      <c r="B8" s="5" t="s">
        <v>20</v>
      </c>
      <c r="C8" s="6">
        <v>45432</v>
      </c>
      <c r="D8" s="7" t="s">
        <v>21</v>
      </c>
      <c r="E8" s="8" t="s">
        <v>22</v>
      </c>
      <c r="F8" s="8" t="s">
        <v>23</v>
      </c>
      <c r="G8" s="7" t="s">
        <v>24</v>
      </c>
      <c r="H8" s="9"/>
      <c r="I8" s="19">
        <f t="shared" si="1"/>
        <v>208.3</v>
      </c>
      <c r="J8" s="20">
        <f t="shared" si="2"/>
        <v>1.49</v>
      </c>
      <c r="K8" s="21">
        <f t="shared" si="3"/>
        <v>139.798657718121</v>
      </c>
      <c r="L8" s="22">
        <f>SUM(P2:P25)</f>
        <v>200.3</v>
      </c>
      <c r="M8" s="23">
        <f>SUM(Q2:Q25)</f>
        <v>2.141</v>
      </c>
      <c r="N8" s="24" t="s">
        <v>30</v>
      </c>
      <c r="O8" s="24" t="s">
        <v>32</v>
      </c>
      <c r="P8" s="25">
        <f>4.6+1.4</f>
        <v>6</v>
      </c>
      <c r="Q8" s="40">
        <f>0.06+0.03</f>
        <v>0.09</v>
      </c>
      <c r="R8" s="41">
        <f t="shared" si="4"/>
        <v>66.6666666666667</v>
      </c>
      <c r="S8" s="42">
        <f t="shared" si="5"/>
        <v>0.0299550673989017</v>
      </c>
      <c r="T8" s="43">
        <f t="shared" si="0"/>
        <v>0.0420364315740308</v>
      </c>
    </row>
    <row r="9" spans="1:20">
      <c r="A9" s="4">
        <v>2024</v>
      </c>
      <c r="B9" s="5" t="s">
        <v>20</v>
      </c>
      <c r="C9" s="6">
        <v>45432</v>
      </c>
      <c r="D9" s="7" t="s">
        <v>21</v>
      </c>
      <c r="E9" s="8" t="s">
        <v>22</v>
      </c>
      <c r="F9" s="8" t="s">
        <v>23</v>
      </c>
      <c r="G9" s="7" t="s">
        <v>24</v>
      </c>
      <c r="H9" s="9"/>
      <c r="I9" s="19">
        <f t="shared" si="1"/>
        <v>208.3</v>
      </c>
      <c r="J9" s="20">
        <f t="shared" si="2"/>
        <v>1.49</v>
      </c>
      <c r="K9" s="21">
        <f t="shared" si="3"/>
        <v>139.798657718121</v>
      </c>
      <c r="L9" s="22">
        <f>SUM(P2:P25)</f>
        <v>200.3</v>
      </c>
      <c r="M9" s="23">
        <f>SUM(Q2:Q25)</f>
        <v>2.141</v>
      </c>
      <c r="N9" s="24" t="s">
        <v>33</v>
      </c>
      <c r="O9" s="24" t="s">
        <v>33</v>
      </c>
      <c r="P9" s="25">
        <v>0.4</v>
      </c>
      <c r="Q9" s="40">
        <v>0.003</v>
      </c>
      <c r="R9" s="41">
        <f t="shared" si="4"/>
        <v>133.333333333333</v>
      </c>
      <c r="S9" s="42">
        <f t="shared" si="5"/>
        <v>0.00199700449326011</v>
      </c>
      <c r="T9" s="43">
        <f t="shared" si="0"/>
        <v>0.00140121438580103</v>
      </c>
    </row>
    <row r="10" spans="1:20">
      <c r="A10" s="10">
        <v>2024</v>
      </c>
      <c r="B10" s="5" t="s">
        <v>20</v>
      </c>
      <c r="C10" s="6">
        <v>45432</v>
      </c>
      <c r="D10" s="7" t="s">
        <v>21</v>
      </c>
      <c r="E10" s="8" t="s">
        <v>22</v>
      </c>
      <c r="F10" s="8" t="s">
        <v>23</v>
      </c>
      <c r="G10" s="7" t="s">
        <v>24</v>
      </c>
      <c r="H10" s="9"/>
      <c r="I10" s="19">
        <f t="shared" si="1"/>
        <v>208.3</v>
      </c>
      <c r="J10" s="20">
        <f t="shared" si="2"/>
        <v>1.49</v>
      </c>
      <c r="K10" s="21">
        <f t="shared" si="3"/>
        <v>139.798657718121</v>
      </c>
      <c r="L10" s="22">
        <f>SUM(P2:P25)</f>
        <v>200.3</v>
      </c>
      <c r="M10" s="23">
        <f>SUM(Q2:Q25)</f>
        <v>2.141</v>
      </c>
      <c r="N10" s="24" t="s">
        <v>34</v>
      </c>
      <c r="O10" s="24" t="s">
        <v>35</v>
      </c>
      <c r="P10" s="25">
        <v>8.6</v>
      </c>
      <c r="Q10" s="40">
        <v>0.05</v>
      </c>
      <c r="R10" s="41">
        <f t="shared" si="4"/>
        <v>172</v>
      </c>
      <c r="S10" s="42">
        <f t="shared" si="5"/>
        <v>0.0429355966050924</v>
      </c>
      <c r="T10" s="43">
        <f t="shared" si="0"/>
        <v>0.0233535730966838</v>
      </c>
    </row>
    <row r="11" spans="1:20">
      <c r="A11" s="10">
        <v>2024</v>
      </c>
      <c r="B11" s="5" t="s">
        <v>20</v>
      </c>
      <c r="C11" s="6">
        <v>45432</v>
      </c>
      <c r="D11" s="7" t="s">
        <v>21</v>
      </c>
      <c r="E11" s="8" t="s">
        <v>22</v>
      </c>
      <c r="F11" s="8" t="s">
        <v>23</v>
      </c>
      <c r="G11" s="7" t="s">
        <v>24</v>
      </c>
      <c r="H11" s="9"/>
      <c r="I11" s="19">
        <f t="shared" si="1"/>
        <v>208.3</v>
      </c>
      <c r="J11" s="20">
        <f t="shared" si="2"/>
        <v>1.49</v>
      </c>
      <c r="K11" s="21">
        <f t="shared" si="3"/>
        <v>139.798657718121</v>
      </c>
      <c r="L11" s="22">
        <f>SUM(P2:P25)</f>
        <v>200.3</v>
      </c>
      <c r="M11" s="23">
        <f>SUM(Q2:Q25)</f>
        <v>2.141</v>
      </c>
      <c r="N11" s="24" t="s">
        <v>34</v>
      </c>
      <c r="O11" s="24" t="s">
        <v>36</v>
      </c>
      <c r="P11" s="25">
        <v>0.3</v>
      </c>
      <c r="Q11" s="40">
        <v>0.002</v>
      </c>
      <c r="R11" s="41">
        <f t="shared" si="4"/>
        <v>150</v>
      </c>
      <c r="S11" s="42">
        <f t="shared" si="5"/>
        <v>0.00149775336994508</v>
      </c>
      <c r="T11" s="43">
        <f t="shared" si="0"/>
        <v>0.000934142923867352</v>
      </c>
    </row>
    <row r="12" spans="1:20">
      <c r="A12" s="4">
        <v>2024</v>
      </c>
      <c r="B12" s="5" t="s">
        <v>20</v>
      </c>
      <c r="C12" s="6">
        <v>45432</v>
      </c>
      <c r="D12" s="7" t="s">
        <v>21</v>
      </c>
      <c r="E12" s="8" t="s">
        <v>22</v>
      </c>
      <c r="F12" s="8" t="s">
        <v>23</v>
      </c>
      <c r="G12" s="7" t="s">
        <v>24</v>
      </c>
      <c r="H12" s="9"/>
      <c r="I12" s="19">
        <f t="shared" si="1"/>
        <v>208.3</v>
      </c>
      <c r="J12" s="20">
        <f t="shared" si="2"/>
        <v>1.49</v>
      </c>
      <c r="K12" s="21">
        <f t="shared" si="3"/>
        <v>139.798657718121</v>
      </c>
      <c r="L12" s="22">
        <f>SUM(P2:P25)</f>
        <v>200.3</v>
      </c>
      <c r="M12" s="23">
        <f>SUM(Q2:Q25)</f>
        <v>2.141</v>
      </c>
      <c r="N12" s="24" t="s">
        <v>37</v>
      </c>
      <c r="O12" s="24" t="s">
        <v>35</v>
      </c>
      <c r="P12" s="25">
        <v>3.3</v>
      </c>
      <c r="Q12" s="40">
        <v>0.08</v>
      </c>
      <c r="R12" s="41">
        <f t="shared" si="4"/>
        <v>41.25</v>
      </c>
      <c r="S12" s="42">
        <f t="shared" si="5"/>
        <v>0.0164752870693959</v>
      </c>
      <c r="T12" s="43">
        <f t="shared" si="0"/>
        <v>0.0373657169546941</v>
      </c>
    </row>
    <row r="13" spans="1:20">
      <c r="A13" s="10">
        <v>2024</v>
      </c>
      <c r="B13" s="5" t="s">
        <v>20</v>
      </c>
      <c r="C13" s="6">
        <v>45432</v>
      </c>
      <c r="D13" s="7" t="s">
        <v>21</v>
      </c>
      <c r="E13" s="8" t="s">
        <v>22</v>
      </c>
      <c r="F13" s="8" t="s">
        <v>23</v>
      </c>
      <c r="G13" s="7" t="s">
        <v>24</v>
      </c>
      <c r="H13" s="9"/>
      <c r="I13" s="19">
        <f t="shared" si="1"/>
        <v>208.3</v>
      </c>
      <c r="J13" s="20">
        <f t="shared" si="2"/>
        <v>1.49</v>
      </c>
      <c r="K13" s="21">
        <f t="shared" si="3"/>
        <v>139.798657718121</v>
      </c>
      <c r="L13" s="22">
        <f>SUM(P2:P25)</f>
        <v>200.3</v>
      </c>
      <c r="M13" s="23">
        <f>SUM(Q2:Q25)</f>
        <v>2.141</v>
      </c>
      <c r="N13" s="24" t="s">
        <v>37</v>
      </c>
      <c r="O13" s="24" t="s">
        <v>36</v>
      </c>
      <c r="P13" s="25">
        <v>0.7</v>
      </c>
      <c r="Q13" s="40">
        <v>0.025</v>
      </c>
      <c r="R13" s="41">
        <f t="shared" si="4"/>
        <v>28</v>
      </c>
      <c r="S13" s="42">
        <f t="shared" si="5"/>
        <v>0.00349475786320519</v>
      </c>
      <c r="T13" s="43">
        <f t="shared" si="0"/>
        <v>0.0116767865483419</v>
      </c>
    </row>
    <row r="14" spans="1:20">
      <c r="A14" s="4">
        <v>2024</v>
      </c>
      <c r="B14" s="5" t="s">
        <v>20</v>
      </c>
      <c r="C14" s="6">
        <v>45432</v>
      </c>
      <c r="D14" s="7" t="s">
        <v>21</v>
      </c>
      <c r="E14" s="8" t="s">
        <v>22</v>
      </c>
      <c r="F14" s="8" t="s">
        <v>23</v>
      </c>
      <c r="G14" s="7" t="s">
        <v>24</v>
      </c>
      <c r="H14" s="9"/>
      <c r="I14" s="19">
        <f t="shared" si="1"/>
        <v>208.3</v>
      </c>
      <c r="J14" s="20">
        <f t="shared" si="2"/>
        <v>1.49</v>
      </c>
      <c r="K14" s="21">
        <f t="shared" ref="K14:K25" si="6">IFERROR(I14/J14,"-")</f>
        <v>139.798657718121</v>
      </c>
      <c r="L14" s="22">
        <f>SUM(P2:P25)</f>
        <v>200.3</v>
      </c>
      <c r="M14" s="23">
        <f>SUM(Q2:Q25)</f>
        <v>2.141</v>
      </c>
      <c r="N14" s="24" t="s">
        <v>38</v>
      </c>
      <c r="O14" s="24" t="s">
        <v>39</v>
      </c>
      <c r="P14" s="25">
        <v>8.1</v>
      </c>
      <c r="Q14" s="40">
        <v>0.085</v>
      </c>
      <c r="R14" s="41">
        <f t="shared" si="4"/>
        <v>95.2941176470588</v>
      </c>
      <c r="S14" s="42">
        <f t="shared" si="5"/>
        <v>0.0404393409885172</v>
      </c>
      <c r="T14" s="43">
        <f t="shared" si="0"/>
        <v>0.0397010742643625</v>
      </c>
    </row>
    <row r="15" spans="1:20">
      <c r="A15" s="10">
        <v>2024</v>
      </c>
      <c r="B15" s="5" t="s">
        <v>20</v>
      </c>
      <c r="C15" s="6">
        <v>45432</v>
      </c>
      <c r="D15" s="7" t="s">
        <v>21</v>
      </c>
      <c r="E15" s="8" t="s">
        <v>22</v>
      </c>
      <c r="F15" s="8" t="s">
        <v>23</v>
      </c>
      <c r="G15" s="7" t="s">
        <v>24</v>
      </c>
      <c r="H15" s="9"/>
      <c r="I15" s="19">
        <f t="shared" si="1"/>
        <v>208.3</v>
      </c>
      <c r="J15" s="20">
        <f t="shared" si="2"/>
        <v>1.49</v>
      </c>
      <c r="K15" s="21">
        <f t="shared" si="6"/>
        <v>139.798657718121</v>
      </c>
      <c r="L15" s="22">
        <f>SUM(P2:P25)</f>
        <v>200.3</v>
      </c>
      <c r="M15" s="23">
        <f>SUM(Q2:Q25)</f>
        <v>2.141</v>
      </c>
      <c r="N15" s="24" t="s">
        <v>38</v>
      </c>
      <c r="O15" s="24" t="s">
        <v>40</v>
      </c>
      <c r="P15" s="25">
        <v>1.5</v>
      </c>
      <c r="Q15" s="40">
        <v>0.035</v>
      </c>
      <c r="R15" s="41">
        <f t="shared" si="4"/>
        <v>42.8571428571429</v>
      </c>
      <c r="S15" s="42">
        <f t="shared" si="5"/>
        <v>0.00748876684972541</v>
      </c>
      <c r="T15" s="43">
        <f t="shared" si="0"/>
        <v>0.0163475011676787</v>
      </c>
    </row>
    <row r="16" spans="1:20">
      <c r="A16" s="10">
        <v>2024</v>
      </c>
      <c r="B16" s="5" t="s">
        <v>20</v>
      </c>
      <c r="C16" s="6">
        <v>45432</v>
      </c>
      <c r="D16" s="7" t="s">
        <v>21</v>
      </c>
      <c r="E16" s="8" t="s">
        <v>22</v>
      </c>
      <c r="F16" s="8" t="s">
        <v>23</v>
      </c>
      <c r="G16" s="7" t="s">
        <v>24</v>
      </c>
      <c r="H16" s="9"/>
      <c r="I16" s="19">
        <f t="shared" si="1"/>
        <v>208.3</v>
      </c>
      <c r="J16" s="20">
        <f t="shared" si="2"/>
        <v>1.49</v>
      </c>
      <c r="K16" s="21">
        <f t="shared" si="6"/>
        <v>139.798657718121</v>
      </c>
      <c r="L16" s="22">
        <f>SUM(P2:P25)</f>
        <v>200.3</v>
      </c>
      <c r="M16" s="23">
        <f>SUM(Q2:Q25)</f>
        <v>2.141</v>
      </c>
      <c r="N16" s="24" t="s">
        <v>41</v>
      </c>
      <c r="O16" s="24" t="s">
        <v>42</v>
      </c>
      <c r="P16" s="25">
        <v>1</v>
      </c>
      <c r="Q16" s="40">
        <v>0.04</v>
      </c>
      <c r="R16" s="41">
        <f t="shared" si="4"/>
        <v>25</v>
      </c>
      <c r="S16" s="42">
        <f t="shared" si="5"/>
        <v>0.00499251123315028</v>
      </c>
      <c r="T16" s="43">
        <f t="shared" si="0"/>
        <v>0.018682858477347</v>
      </c>
    </row>
    <row r="17" spans="1:20">
      <c r="A17" s="4">
        <v>2024</v>
      </c>
      <c r="B17" s="5" t="s">
        <v>20</v>
      </c>
      <c r="C17" s="6">
        <v>45432</v>
      </c>
      <c r="D17" s="7" t="s">
        <v>21</v>
      </c>
      <c r="E17" s="8" t="s">
        <v>22</v>
      </c>
      <c r="F17" s="8" t="s">
        <v>23</v>
      </c>
      <c r="G17" s="7" t="s">
        <v>24</v>
      </c>
      <c r="H17" s="9"/>
      <c r="I17" s="19">
        <f t="shared" si="1"/>
        <v>208.3</v>
      </c>
      <c r="J17" s="20">
        <f t="shared" si="2"/>
        <v>1.49</v>
      </c>
      <c r="K17" s="21">
        <f t="shared" si="6"/>
        <v>139.798657718121</v>
      </c>
      <c r="L17" s="22">
        <f>SUM(P2:P25)</f>
        <v>200.3</v>
      </c>
      <c r="M17" s="23">
        <f>SUM(Q2:Q25)</f>
        <v>2.141</v>
      </c>
      <c r="N17" s="24" t="s">
        <v>41</v>
      </c>
      <c r="O17" s="24" t="s">
        <v>28</v>
      </c>
      <c r="P17" s="25">
        <v>2.1</v>
      </c>
      <c r="Q17" s="40">
        <v>0.08</v>
      </c>
      <c r="R17" s="41">
        <f t="shared" si="4"/>
        <v>26.25</v>
      </c>
      <c r="S17" s="42">
        <f t="shared" si="5"/>
        <v>0.0104842735896156</v>
      </c>
      <c r="T17" s="43">
        <f t="shared" si="0"/>
        <v>0.0373657169546941</v>
      </c>
    </row>
    <row r="18" spans="1:20">
      <c r="A18" s="10">
        <v>2024</v>
      </c>
      <c r="B18" s="5" t="s">
        <v>20</v>
      </c>
      <c r="C18" s="6">
        <v>45432</v>
      </c>
      <c r="D18" s="7" t="s">
        <v>21</v>
      </c>
      <c r="E18" s="8" t="s">
        <v>22</v>
      </c>
      <c r="F18" s="8" t="s">
        <v>23</v>
      </c>
      <c r="G18" s="7" t="s">
        <v>24</v>
      </c>
      <c r="H18" s="9"/>
      <c r="I18" s="19">
        <f t="shared" si="1"/>
        <v>208.3</v>
      </c>
      <c r="J18" s="20">
        <f t="shared" si="2"/>
        <v>1.49</v>
      </c>
      <c r="K18" s="21">
        <f t="shared" si="6"/>
        <v>139.798657718121</v>
      </c>
      <c r="L18" s="22">
        <f>SUM(P2:P25)</f>
        <v>200.3</v>
      </c>
      <c r="M18" s="23">
        <f>SUM(Q2:Q25)</f>
        <v>2.141</v>
      </c>
      <c r="N18" s="24" t="s">
        <v>43</v>
      </c>
      <c r="O18" s="24" t="s">
        <v>43</v>
      </c>
      <c r="P18" s="25">
        <v>0.4</v>
      </c>
      <c r="Q18" s="40">
        <v>0.003</v>
      </c>
      <c r="R18" s="41">
        <f t="shared" si="4"/>
        <v>133.333333333333</v>
      </c>
      <c r="S18" s="42">
        <f t="shared" si="5"/>
        <v>0.00199700449326011</v>
      </c>
      <c r="T18" s="43">
        <f t="shared" si="0"/>
        <v>0.00140121438580103</v>
      </c>
    </row>
    <row r="19" spans="1:20">
      <c r="A19" s="10">
        <v>2024</v>
      </c>
      <c r="B19" s="5" t="s">
        <v>20</v>
      </c>
      <c r="C19" s="6">
        <v>45432</v>
      </c>
      <c r="D19" s="7" t="s">
        <v>21</v>
      </c>
      <c r="E19" s="8" t="s">
        <v>22</v>
      </c>
      <c r="F19" s="8" t="s">
        <v>23</v>
      </c>
      <c r="G19" s="7" t="s">
        <v>24</v>
      </c>
      <c r="H19" s="9"/>
      <c r="I19" s="19">
        <f t="shared" si="1"/>
        <v>208.3</v>
      </c>
      <c r="J19" s="20">
        <f t="shared" si="2"/>
        <v>1.49</v>
      </c>
      <c r="K19" s="21">
        <f t="shared" si="6"/>
        <v>139.798657718121</v>
      </c>
      <c r="L19" s="22">
        <f>SUM(P2:P25)</f>
        <v>200.3</v>
      </c>
      <c r="M19" s="23">
        <f>SUM(Q2:Q25)</f>
        <v>2.141</v>
      </c>
      <c r="N19" s="24" t="s">
        <v>44</v>
      </c>
      <c r="O19" s="24" t="s">
        <v>44</v>
      </c>
      <c r="P19" s="25">
        <v>0.1</v>
      </c>
      <c r="Q19" s="40">
        <v>0.001</v>
      </c>
      <c r="R19" s="41">
        <f t="shared" si="4"/>
        <v>100</v>
      </c>
      <c r="S19" s="42">
        <f t="shared" si="5"/>
        <v>0.000499251123315028</v>
      </c>
      <c r="T19" s="43">
        <f t="shared" si="0"/>
        <v>0.000467071461933676</v>
      </c>
    </row>
    <row r="20" spans="1:20">
      <c r="A20" s="4">
        <v>2024</v>
      </c>
      <c r="B20" s="5" t="s">
        <v>20</v>
      </c>
      <c r="C20" s="6">
        <v>45432</v>
      </c>
      <c r="D20" s="7" t="s">
        <v>21</v>
      </c>
      <c r="E20" s="8" t="s">
        <v>22</v>
      </c>
      <c r="F20" s="8" t="s">
        <v>23</v>
      </c>
      <c r="G20" s="7" t="s">
        <v>24</v>
      </c>
      <c r="H20" s="9"/>
      <c r="I20" s="19">
        <f t="shared" si="1"/>
        <v>208.3</v>
      </c>
      <c r="J20" s="20">
        <f t="shared" si="2"/>
        <v>1.49</v>
      </c>
      <c r="K20" s="21">
        <f t="shared" si="6"/>
        <v>139.798657718121</v>
      </c>
      <c r="L20" s="22">
        <f>SUM(P2:P25)</f>
        <v>200.3</v>
      </c>
      <c r="M20" s="23">
        <f>SUM(Q2:Q25)</f>
        <v>2.141</v>
      </c>
      <c r="N20" s="24" t="s">
        <v>45</v>
      </c>
      <c r="O20" s="24" t="s">
        <v>46</v>
      </c>
      <c r="P20" s="25">
        <f>17.7+20.8</f>
        <v>38.5</v>
      </c>
      <c r="Q20" s="40">
        <f>0.115+0.11</f>
        <v>0.225</v>
      </c>
      <c r="R20" s="41">
        <f t="shared" si="4"/>
        <v>171.111111111111</v>
      </c>
      <c r="S20" s="42">
        <f t="shared" si="5"/>
        <v>0.192211682476286</v>
      </c>
      <c r="T20" s="43">
        <f t="shared" si="0"/>
        <v>0.105091078935077</v>
      </c>
    </row>
    <row r="21" spans="1:20">
      <c r="A21" s="10">
        <v>2024</v>
      </c>
      <c r="B21" s="5" t="s">
        <v>20</v>
      </c>
      <c r="C21" s="6">
        <v>45432</v>
      </c>
      <c r="D21" s="7" t="s">
        <v>21</v>
      </c>
      <c r="E21" s="8" t="s">
        <v>22</v>
      </c>
      <c r="F21" s="8" t="s">
        <v>23</v>
      </c>
      <c r="G21" s="7" t="s">
        <v>24</v>
      </c>
      <c r="H21" s="9"/>
      <c r="I21" s="19">
        <f t="shared" si="1"/>
        <v>208.3</v>
      </c>
      <c r="J21" s="20">
        <f t="shared" si="2"/>
        <v>1.49</v>
      </c>
      <c r="K21" s="21">
        <f t="shared" si="6"/>
        <v>139.798657718121</v>
      </c>
      <c r="L21" s="22">
        <f>SUM(P2:P25)</f>
        <v>200.3</v>
      </c>
      <c r="M21" s="23">
        <f>SUM(Q2:Q25)</f>
        <v>2.141</v>
      </c>
      <c r="N21" s="24" t="s">
        <v>45</v>
      </c>
      <c r="O21" s="24" t="s">
        <v>47</v>
      </c>
      <c r="P21" s="25">
        <v>0.6</v>
      </c>
      <c r="Q21" s="40">
        <v>0.002</v>
      </c>
      <c r="R21" s="41">
        <f t="shared" si="4"/>
        <v>300</v>
      </c>
      <c r="S21" s="42">
        <f t="shared" si="5"/>
        <v>0.00299550673989017</v>
      </c>
      <c r="T21" s="43">
        <f t="shared" si="0"/>
        <v>0.000934142923867352</v>
      </c>
    </row>
    <row r="22" spans="1:20">
      <c r="A22" s="10">
        <v>2024</v>
      </c>
      <c r="B22" s="5" t="s">
        <v>20</v>
      </c>
      <c r="C22" s="6">
        <v>45432</v>
      </c>
      <c r="D22" s="7" t="s">
        <v>21</v>
      </c>
      <c r="E22" s="8" t="s">
        <v>22</v>
      </c>
      <c r="F22" s="8" t="s">
        <v>23</v>
      </c>
      <c r="G22" s="7" t="s">
        <v>24</v>
      </c>
      <c r="H22" s="9"/>
      <c r="I22" s="19">
        <f t="shared" si="1"/>
        <v>208.3</v>
      </c>
      <c r="J22" s="20">
        <f t="shared" si="2"/>
        <v>1.49</v>
      </c>
      <c r="K22" s="21">
        <f t="shared" si="6"/>
        <v>139.798657718121</v>
      </c>
      <c r="L22" s="22">
        <f>SUM(P2:P25)</f>
        <v>200.3</v>
      </c>
      <c r="M22" s="23">
        <f>SUM(Q2:Q25)</f>
        <v>2.141</v>
      </c>
      <c r="N22" s="24" t="s">
        <v>45</v>
      </c>
      <c r="O22" s="24" t="s">
        <v>48</v>
      </c>
      <c r="P22" s="25">
        <v>7.1</v>
      </c>
      <c r="Q22" s="40">
        <v>0.025</v>
      </c>
      <c r="R22" s="41">
        <f t="shared" si="4"/>
        <v>284</v>
      </c>
      <c r="S22" s="42">
        <f t="shared" si="5"/>
        <v>0.035446829755367</v>
      </c>
      <c r="T22" s="43">
        <f t="shared" si="0"/>
        <v>0.0116767865483419</v>
      </c>
    </row>
    <row r="23" spans="1:20">
      <c r="A23" s="4">
        <v>2024</v>
      </c>
      <c r="B23" s="5" t="s">
        <v>20</v>
      </c>
      <c r="C23" s="6">
        <v>45432</v>
      </c>
      <c r="D23" s="7" t="s">
        <v>21</v>
      </c>
      <c r="E23" s="8" t="s">
        <v>22</v>
      </c>
      <c r="F23" s="8" t="s">
        <v>23</v>
      </c>
      <c r="G23" s="7" t="s">
        <v>24</v>
      </c>
      <c r="H23" s="9"/>
      <c r="I23" s="19">
        <f t="shared" si="1"/>
        <v>208.3</v>
      </c>
      <c r="J23" s="20">
        <f t="shared" si="2"/>
        <v>1.49</v>
      </c>
      <c r="K23" s="21">
        <f t="shared" si="6"/>
        <v>139.798657718121</v>
      </c>
      <c r="L23" s="22">
        <f>SUM(P2:P25)</f>
        <v>200.3</v>
      </c>
      <c r="M23" s="23">
        <f>SUM(Q2:Q25)</f>
        <v>2.141</v>
      </c>
      <c r="N23" s="24" t="s">
        <v>45</v>
      </c>
      <c r="O23" s="24" t="s">
        <v>49</v>
      </c>
      <c r="P23" s="25">
        <v>1.6</v>
      </c>
      <c r="Q23" s="40">
        <v>0.01</v>
      </c>
      <c r="R23" s="41">
        <f t="shared" si="4"/>
        <v>160</v>
      </c>
      <c r="S23" s="42">
        <f t="shared" si="5"/>
        <v>0.00798801797304044</v>
      </c>
      <c r="T23" s="43">
        <f t="shared" si="0"/>
        <v>0.00467071461933676</v>
      </c>
    </row>
    <row r="24" spans="1:20">
      <c r="A24" s="10">
        <v>2024</v>
      </c>
      <c r="B24" s="5" t="s">
        <v>20</v>
      </c>
      <c r="C24" s="6">
        <v>45432</v>
      </c>
      <c r="D24" s="7" t="s">
        <v>21</v>
      </c>
      <c r="E24" s="8" t="s">
        <v>22</v>
      </c>
      <c r="F24" s="8" t="s">
        <v>23</v>
      </c>
      <c r="G24" s="7" t="s">
        <v>24</v>
      </c>
      <c r="H24" s="9"/>
      <c r="I24" s="19">
        <f t="shared" si="1"/>
        <v>208.3</v>
      </c>
      <c r="J24" s="20">
        <f t="shared" si="2"/>
        <v>1.49</v>
      </c>
      <c r="K24" s="21">
        <f t="shared" si="6"/>
        <v>139.798657718121</v>
      </c>
      <c r="L24" s="22">
        <f>SUM(P2:P25)</f>
        <v>200.3</v>
      </c>
      <c r="M24" s="23">
        <f>SUM(Q2:Q25)</f>
        <v>2.141</v>
      </c>
      <c r="N24" s="24" t="s">
        <v>45</v>
      </c>
      <c r="O24" s="24" t="s">
        <v>28</v>
      </c>
      <c r="P24" s="25">
        <f>2+6</f>
        <v>8</v>
      </c>
      <c r="Q24" s="40">
        <f>0.015+0.045</f>
        <v>0.06</v>
      </c>
      <c r="R24" s="41">
        <f t="shared" si="4"/>
        <v>133.333333333333</v>
      </c>
      <c r="S24" s="42">
        <f t="shared" si="5"/>
        <v>0.0399400898652022</v>
      </c>
      <c r="T24" s="43">
        <f t="shared" si="0"/>
        <v>0.0280242877160206</v>
      </c>
    </row>
    <row r="25" ht="15.75" spans="1:20">
      <c r="A25" s="11">
        <v>2024</v>
      </c>
      <c r="B25" s="12" t="s">
        <v>20</v>
      </c>
      <c r="C25" s="13">
        <v>45432</v>
      </c>
      <c r="D25" s="12" t="s">
        <v>21</v>
      </c>
      <c r="E25" s="14" t="s">
        <v>22</v>
      </c>
      <c r="F25" s="14" t="s">
        <v>23</v>
      </c>
      <c r="G25" s="12" t="s">
        <v>24</v>
      </c>
      <c r="H25" s="15"/>
      <c r="I25" s="26">
        <f t="shared" si="1"/>
        <v>208.3</v>
      </c>
      <c r="J25" s="27">
        <f t="shared" si="2"/>
        <v>1.49</v>
      </c>
      <c r="K25" s="28">
        <f t="shared" si="6"/>
        <v>139.798657718121</v>
      </c>
      <c r="L25" s="29">
        <f>SUM(P2:P25)</f>
        <v>200.3</v>
      </c>
      <c r="M25" s="30">
        <f>SUM(Q2:Q25)</f>
        <v>2.141</v>
      </c>
      <c r="N25" s="31" t="s">
        <v>50</v>
      </c>
      <c r="O25" s="31" t="s">
        <v>50</v>
      </c>
      <c r="P25" s="32">
        <v>25.1</v>
      </c>
      <c r="Q25" s="44">
        <v>0.08</v>
      </c>
      <c r="R25" s="45">
        <f t="shared" si="4"/>
        <v>313.75</v>
      </c>
      <c r="S25" s="46">
        <f t="shared" si="5"/>
        <v>0.125312031952072</v>
      </c>
      <c r="T25" s="47">
        <f t="shared" si="0"/>
        <v>0.0373657169546941</v>
      </c>
    </row>
    <row r="26" spans="16:19">
      <c r="P26" s="33">
        <f>SUM(P2:P25)</f>
        <v>200.3</v>
      </c>
      <c r="S26" s="36">
        <f>SUM(S2:S25)</f>
        <v>1</v>
      </c>
    </row>
    <row r="28" spans="19:19">
      <c r="S28" s="36"/>
    </row>
    <row r="31" spans="19:19">
      <c r="S31" s="36"/>
    </row>
    <row r="32" spans="15:19">
      <c r="O32" s="34"/>
      <c r="P32" s="33"/>
      <c r="Q32" s="36"/>
      <c r="S32" s="36"/>
    </row>
    <row r="33" spans="15:19">
      <c r="O33" s="34"/>
      <c r="P33" s="33"/>
      <c r="Q33" s="36"/>
      <c r="S33" s="36"/>
    </row>
    <row r="34" spans="14:19">
      <c r="N34" s="35"/>
      <c r="O34" s="34"/>
      <c r="P34" s="33"/>
      <c r="Q34" s="36"/>
      <c r="S34" s="36"/>
    </row>
    <row r="35" spans="14:19">
      <c r="N35" s="35"/>
      <c r="O35" s="34"/>
      <c r="P35" s="33"/>
      <c r="Q35" s="36"/>
      <c r="S35" s="36"/>
    </row>
    <row r="36" spans="14:19">
      <c r="N36" s="35"/>
      <c r="O36" s="34"/>
      <c r="P36" s="33"/>
      <c r="Q36" s="36"/>
      <c r="S36" s="36"/>
    </row>
    <row r="37" spans="14:19">
      <c r="N37" s="35"/>
      <c r="O37" s="34"/>
      <c r="P37" s="33"/>
      <c r="Q37" s="36"/>
      <c r="S37" s="36"/>
    </row>
    <row r="38" spans="14:19">
      <c r="N38" s="35"/>
      <c r="O38" s="34"/>
      <c r="P38" s="33"/>
      <c r="Q38" s="36"/>
      <c r="S38" s="36"/>
    </row>
    <row r="39" spans="14:17">
      <c r="N39" s="35"/>
      <c r="O39" s="34"/>
      <c r="P39" s="33"/>
      <c r="Q39" s="36"/>
    </row>
    <row r="40" spans="14:17">
      <c r="N40" s="35"/>
      <c r="O40" s="34"/>
      <c r="P40" s="33"/>
      <c r="Q40" s="36"/>
    </row>
    <row r="41" spans="14:18">
      <c r="N41" s="35"/>
      <c r="O41" s="34"/>
      <c r="P41" s="33"/>
      <c r="Q41" s="36"/>
      <c r="R41" s="36"/>
    </row>
    <row r="42" spans="14:17">
      <c r="N42" s="35"/>
      <c r="O42" s="34"/>
      <c r="P42" s="33"/>
      <c r="Q42" s="36"/>
    </row>
    <row r="43" spans="14:17">
      <c r="N43" s="35"/>
      <c r="O43" s="34"/>
      <c r="P43" s="33"/>
      <c r="Q43" s="36"/>
    </row>
    <row r="44" spans="14:17">
      <c r="N44" s="35"/>
      <c r="P44" s="33"/>
      <c r="Q44" s="36"/>
    </row>
    <row r="45" spans="14:14">
      <c r="N45" s="35"/>
    </row>
    <row r="47" spans="14:14">
      <c r="N47" s="36"/>
    </row>
    <row r="48" spans="14:14">
      <c r="N48" s="37"/>
    </row>
    <row r="49" spans="20:20">
      <c r="T49" s="35"/>
    </row>
    <row r="50" spans="20:20">
      <c r="T50" s="35"/>
    </row>
    <row r="51" spans="20:20">
      <c r="T51" s="35"/>
    </row>
    <row r="52" spans="20:20">
      <c r="T52" s="35"/>
    </row>
    <row r="53" spans="20:20">
      <c r="T53" s="35"/>
    </row>
    <row r="54" spans="20:20">
      <c r="T54" s="35"/>
    </row>
    <row r="55" spans="20:20">
      <c r="T55" s="35"/>
    </row>
    <row r="56" spans="20:20">
      <c r="T56" s="35"/>
    </row>
    <row r="57" spans="20:20">
      <c r="T57" s="35"/>
    </row>
    <row r="58" spans="20:20">
      <c r="T58" s="35"/>
    </row>
    <row r="59" spans="20:20">
      <c r="T59" s="35"/>
    </row>
    <row r="60" spans="20:20">
      <c r="T60" s="35"/>
    </row>
    <row r="75" spans="14:17">
      <c r="N75" s="48"/>
      <c r="O75" s="49"/>
      <c r="P75" s="48"/>
      <c r="Q75" s="56"/>
    </row>
    <row r="76" spans="14:17">
      <c r="N76" s="50"/>
      <c r="O76" s="51"/>
      <c r="P76" s="52"/>
      <c r="Q76" s="35"/>
    </row>
    <row r="77" spans="14:17">
      <c r="N77" s="50"/>
      <c r="O77" s="51"/>
      <c r="P77" s="52"/>
      <c r="Q77" s="35"/>
    </row>
    <row r="78" spans="14:17">
      <c r="N78" s="50"/>
      <c r="O78" s="51"/>
      <c r="P78" s="52"/>
      <c r="Q78" s="35"/>
    </row>
    <row r="79" spans="14:17">
      <c r="N79" s="50"/>
      <c r="O79" s="51"/>
      <c r="P79" s="52"/>
      <c r="Q79" s="35"/>
    </row>
    <row r="80" spans="14:17">
      <c r="N80" s="50"/>
      <c r="O80" s="51"/>
      <c r="P80" s="52"/>
      <c r="Q80" s="35"/>
    </row>
    <row r="81" spans="14:17">
      <c r="N81" s="53"/>
      <c r="O81" s="54"/>
      <c r="P81" s="52"/>
      <c r="Q81" s="35"/>
    </row>
    <row r="82" spans="14:17">
      <c r="N82" s="53"/>
      <c r="O82" s="54"/>
      <c r="P82" s="52"/>
      <c r="Q82" s="35"/>
    </row>
    <row r="83" spans="14:17">
      <c r="N83" s="50"/>
      <c r="O83" s="51"/>
      <c r="P83" s="52"/>
      <c r="Q83" s="35"/>
    </row>
    <row r="84" spans="14:17">
      <c r="N84" s="50"/>
      <c r="O84" s="51"/>
      <c r="P84" s="52"/>
      <c r="Q84" s="35"/>
    </row>
    <row r="85" spans="14:17">
      <c r="N85" s="55"/>
      <c r="O85" s="51"/>
      <c r="P85" s="52"/>
      <c r="Q85" s="35"/>
    </row>
    <row r="86" spans="14:17">
      <c r="N86" s="50"/>
      <c r="O86" s="51"/>
      <c r="P86" s="52"/>
      <c r="Q86" s="35"/>
    </row>
    <row r="87" spans="14:17">
      <c r="N87" s="55"/>
      <c r="O87" s="51"/>
      <c r="P87" s="52"/>
      <c r="Q87" s="35"/>
    </row>
  </sheetData>
  <autoFilter ref="A1:T26">
    <extLst/>
  </autoFilter>
  <pageMargins left="0.7" right="0.7" top="0.787401575" bottom="0.7874015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SKO Březnice u Zlína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Lucka</dc:creator>
  <cp:lastModifiedBy>Josef Hutěčka</cp:lastModifiedBy>
  <dcterms:created xsi:type="dcterms:W3CDTF">2016-02-03T14:18:00Z</dcterms:created>
  <cp:lastPrinted>2017-02-20T13:19:00Z</cp:lastPrinted>
  <dcterms:modified xsi:type="dcterms:W3CDTF">2024-06-03T13:23:21Z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CDAD326CAE09428BB3B1D6AC7C1CD573_13</vt:lpwstr>
  </property>
  <property fmtid="{D5CDD505-2E9C-101B-9397-08002B2CF9AE}" pid="3" name="KSOProductBuildVer">
    <vt:lpwstr>1033-12.2.0.17119</vt:lpwstr>
  </property>
</Properties>
</file>